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<sst xmlns="http://schemas.openxmlformats.org/spreadsheetml/2006/main" count="892" uniqueCount="179">
  <si>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</si>
  <si>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</si>
  <si>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</si>
  <si>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</si>
  <si>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</si>
  <si>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</si>
  <si>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</si>
  <si>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</si>
  <si>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</si>
  <si>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</si>
  <si>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</si>
  <si>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</si>
  <si>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</si>
  <si>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</si>
  <si>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</si>
  <si>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</si>
  <si>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</si>
  <si>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</si>
  <si>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</si>
  <si>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</si>
  <si>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</si>
  <si>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</si>
  <si>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</si>
  <si>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</si>
  <si>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</si>
  <si>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</si>
  <si>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</si>
  <si>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</si>
  <si>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</si>
  <si>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</si>
  <si>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</si>
  <si>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</si>
  <si>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</si>
  <si>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</si>
  <si>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</si>
  <si>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</si>
  <si>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</si>
  <si>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</si>
  <si>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</si>
  <si>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</si>
  <si>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</si>
  <si>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</si>
  <si>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</si>
  <si>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</si>
  <si>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</si>
  <si>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</si>
  <si>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</si>
  <si>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</si>
  <si>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</si>
  <si>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</si>
  <si>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</si>
  <si>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</si>
  <si>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</si>
  <si>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</si>
  <si>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</si>
  <si>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</si>
  <si>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</si>
  <si>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</si>
  <si>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</si>
  <si>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</si>
  <si>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</si>
  <si>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</si>
  <si>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</si>
  <si>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</si>
  <si>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</si>
  <si>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</si>
  <si>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</si>
  <si>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</si>
  <si>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</si>
  <si>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</si>
  <si>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</si>
  <si>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</si>
  <si>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</si>
  <si>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</si>
  <si>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</si>
  <si>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</si>
  <si>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</si>
  <si>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</si>
  <si>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</si>
  <si>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</si>
  <si>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</si>
  <si>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</si>
  <si>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</si>
  <si>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</si>
  <si>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</si>
  <si>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</si>
  <si>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</si>
  <si>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</si>
  <si>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</si>
  <si>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</si>
  <si>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</si>
  <si>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</si>
  <si>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</si>
  <si>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</si>
  <si>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</si>
  <si>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</si>
  <si>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</si>
  <si>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</si>
  <si>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</si>
  <si>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</si>
  <si>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</si>
  <si>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</si>
  <si>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</si>
  <si>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</si>
  <si>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</si>
  <si>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</si>
  <si>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</si>
  <si>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</si>
  <si>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</si>
  <si>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</si>
  <si>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</si>
  <si>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</si>
  <si>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</si>
  <si>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</si>
  <si>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</si>
  <si>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</si>
  <si>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</si>
  <si>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</si>
  <si>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</si>
  <si>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</si>
  <si>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</si>
  <si>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</si>
  <si>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</si>
  <si>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</si>
  <si>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</si>
  <si>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</si>
  <si>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</si>
  <si>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</si>
  <si>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</si>
  <si>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</si>
  <si>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</si>
  <si>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</si>
  <si>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</si>
  <si>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</si>
  <si>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</si>
  <si>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</si>
  <si>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</si>
  <si>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</si>
  <si>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</si>
  <si>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</si>
  <si>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</si>
  <si>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</si>
  <si>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</si>
  <si>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</si>
  <si>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</si>
  <si>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</si>
  <si>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</si>
  <si>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</si>
  <si>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</si>
  <si>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</si>
  <si>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</si>
  <si>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</si>
  <si>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</si>
  <si>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</si>
  <si>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</si>
  <si>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</si>
  <si>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</si>
  <si>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</si>
  <si>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</si>
  <si>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</si>
  <si>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</si>
  <si>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</si>
  <si>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</si>
  <si>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</si>
  <si>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</si>
  <si>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</si>
  <si>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</si>
  <si>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</si>
  <si>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</si>
  <si>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</si>
  <si>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</si>
  <si>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</si>
  <si>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</si>
  <si>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</si>
  <si>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</si>
  <si>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</si>
  <si>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</si>
  <si>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30.06.2016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</si>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</sst>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178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437741.91</v>
      </c>
      <c r="G8" s="191">
        <f aca="true" t="shared" si="0" ref="G8:G36">F8-E8</f>
        <v>17506.130000000005</v>
      </c>
      <c r="H8" s="192">
        <f>F8/E8*100</f>
        <v>104.16578759666774</v>
      </c>
      <c r="I8" s="193">
        <f>F8-D8</f>
        <v>-403308.09</v>
      </c>
      <c r="J8" s="193">
        <f>F8/D8*100</f>
        <v>52.047073301230604</v>
      </c>
      <c r="K8" s="191">
        <f>F8-305119.12</f>
        <v>132622.78999999998</v>
      </c>
      <c r="L8" s="191">
        <f>F8/305119.12*100</f>
        <v>143.46590603696026</v>
      </c>
      <c r="M8" s="191">
        <f>M9+M15+M18+M19+M20+M17</f>
        <v>67799.29999999999</v>
      </c>
      <c r="N8" s="191">
        <f>N9+N15+N18+N19+N20+N17</f>
        <v>62746.960000000014</v>
      </c>
      <c r="O8" s="191">
        <f>N8-M8</f>
        <v>-5052.339999999975</v>
      </c>
      <c r="P8" s="191">
        <f>N8/M8*100</f>
        <v>92.54809415436446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238445.39</v>
      </c>
      <c r="G9" s="190">
        <f t="shared" si="0"/>
        <v>14541.120000000024</v>
      </c>
      <c r="H9" s="197">
        <f>F9/E9*100</f>
        <v>106.49434689208921</v>
      </c>
      <c r="I9" s="198">
        <f>F9-D9</f>
        <v>-221254.61</v>
      </c>
      <c r="J9" s="198">
        <f>F9/D9*100</f>
        <v>51.869782466826194</v>
      </c>
      <c r="K9" s="199">
        <f>F9-171379.72</f>
        <v>67065.67000000001</v>
      </c>
      <c r="L9" s="199">
        <f>F9/171379.72*100</f>
        <v>139.13279237473373</v>
      </c>
      <c r="M9" s="197">
        <f>E9-травень!E9</f>
        <v>41002</v>
      </c>
      <c r="N9" s="200">
        <f>F9-травень!F9</f>
        <v>39344.47</v>
      </c>
      <c r="O9" s="201">
        <f>N9-M9</f>
        <v>-1657.5299999999988</v>
      </c>
      <c r="P9" s="198">
        <f>N9/M9*100</f>
        <v>95.95744110043412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209748.14</v>
      </c>
      <c r="G10" s="109">
        <f t="shared" si="0"/>
        <v>10452.300000000017</v>
      </c>
      <c r="H10" s="32">
        <f aca="true" t="shared" si="1" ref="H10:H35">F10/E10*100</f>
        <v>105.24461524134172</v>
      </c>
      <c r="I10" s="110">
        <f aca="true" t="shared" si="2" ref="I10:I36">F10-D10</f>
        <v>-201691.86</v>
      </c>
      <c r="J10" s="110">
        <f aca="true" t="shared" si="3" ref="J10:J35">F10/D10*100</f>
        <v>50.97903461014972</v>
      </c>
      <c r="K10" s="112">
        <f>F10-152226.9</f>
        <v>57521.24000000002</v>
      </c>
      <c r="L10" s="112">
        <f>F10/152226.9*100</f>
        <v>137.78651473556909</v>
      </c>
      <c r="M10" s="111">
        <f>E10-травень!E10</f>
        <v>37450</v>
      </c>
      <c r="N10" s="179">
        <f>F10-травень!F10</f>
        <v>35579.81000000003</v>
      </c>
      <c r="O10" s="112">
        <f aca="true" t="shared" si="4" ref="O10:O36">N10-M10</f>
        <v>-1870.1899999999732</v>
      </c>
      <c r="P10" s="198">
        <f aca="true" t="shared" si="5" ref="P10:P16">N10/M10*100</f>
        <v>95.00616822429913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16697.1</v>
      </c>
      <c r="G11" s="109">
        <f t="shared" si="0"/>
        <v>2532.159999999998</v>
      </c>
      <c r="H11" s="32">
        <f t="shared" si="1"/>
        <v>117.8762493875724</v>
      </c>
      <c r="I11" s="110">
        <f t="shared" si="2"/>
        <v>-6302.9000000000015</v>
      </c>
      <c r="J11" s="110">
        <f t="shared" si="3"/>
        <v>72.59608695652173</v>
      </c>
      <c r="K11" s="112">
        <f>F11-9213.1</f>
        <v>7483.999999999998</v>
      </c>
      <c r="L11" s="112">
        <f>F11/9213.1*100</f>
        <v>181.23215855683753</v>
      </c>
      <c r="M11" s="111">
        <f>E11-травень!E11</f>
        <v>1600</v>
      </c>
      <c r="N11" s="179">
        <f>F11-травень!F11</f>
        <v>2017.8499999999985</v>
      </c>
      <c r="O11" s="112">
        <f t="shared" si="4"/>
        <v>417.84999999999854</v>
      </c>
      <c r="P11" s="198">
        <f t="shared" si="5"/>
        <v>126.11562499999991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5190.31</v>
      </c>
      <c r="G12" s="109">
        <f t="shared" si="0"/>
        <v>2469.7000000000003</v>
      </c>
      <c r="H12" s="32">
        <f t="shared" si="1"/>
        <v>190.77743594267463</v>
      </c>
      <c r="I12" s="110">
        <f t="shared" si="2"/>
        <v>-1309.6899999999996</v>
      </c>
      <c r="J12" s="110">
        <f t="shared" si="3"/>
        <v>79.85092307692308</v>
      </c>
      <c r="K12" s="112">
        <f>F12-2592.53</f>
        <v>2597.78</v>
      </c>
      <c r="L12" s="112">
        <f>F12/2592.53*100</f>
        <v>200.2025048890466</v>
      </c>
      <c r="M12" s="111">
        <f>E12-травень!E12</f>
        <v>500</v>
      </c>
      <c r="N12" s="179">
        <f>F12-травень!F12</f>
        <v>607.0800000000008</v>
      </c>
      <c r="O12" s="112">
        <f t="shared" si="4"/>
        <v>107.08000000000084</v>
      </c>
      <c r="P12" s="198">
        <f t="shared" si="5"/>
        <v>121.41600000000017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4409.24</v>
      </c>
      <c r="G13" s="109">
        <f t="shared" si="0"/>
        <v>-175.60000000000036</v>
      </c>
      <c r="H13" s="32">
        <f t="shared" si="1"/>
        <v>96.16998630268449</v>
      </c>
      <c r="I13" s="110">
        <f t="shared" si="2"/>
        <v>-7990.76</v>
      </c>
      <c r="J13" s="110">
        <f t="shared" si="3"/>
        <v>35.55838709677419</v>
      </c>
      <c r="K13" s="112">
        <f>F13-2783.41</f>
        <v>1625.83</v>
      </c>
      <c r="L13" s="112">
        <f>F13/2783.41*100</f>
        <v>158.41144495421085</v>
      </c>
      <c r="M13" s="111">
        <f>E13-травень!E13</f>
        <v>820</v>
      </c>
      <c r="N13" s="179">
        <f>F13-травень!F13</f>
        <v>645.7999999999997</v>
      </c>
      <c r="O13" s="112">
        <f t="shared" si="4"/>
        <v>-174.20000000000027</v>
      </c>
      <c r="P13" s="198">
        <f t="shared" si="5"/>
        <v>78.75609756097558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43403.23</v>
      </c>
      <c r="G19" s="190">
        <f t="shared" si="0"/>
        <v>-4457.169999999998</v>
      </c>
      <c r="H19" s="197">
        <f t="shared" si="1"/>
        <v>90.68714427794168</v>
      </c>
      <c r="I19" s="198">
        <f t="shared" si="2"/>
        <v>-66496.76999999999</v>
      </c>
      <c r="J19" s="198">
        <f t="shared" si="3"/>
        <v>39.49338489535942</v>
      </c>
      <c r="K19" s="209">
        <f>F19-30116.49</f>
        <v>13286.740000000002</v>
      </c>
      <c r="L19" s="209">
        <f>F19/30116.49*100</f>
        <v>144.11782382342696</v>
      </c>
      <c r="M19" s="197">
        <f>E19-травень!E19</f>
        <v>9800</v>
      </c>
      <c r="N19" s="200">
        <f>F19-травень!F19</f>
        <v>8172.6700000000055</v>
      </c>
      <c r="O19" s="201">
        <f t="shared" si="4"/>
        <v>-1627.3299999999945</v>
      </c>
      <c r="P19" s="198">
        <f aca="true" t="shared" si="6" ref="P19:P24">N19/M19*100</f>
        <v>83.39459183673476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155478.08</v>
      </c>
      <c r="G20" s="190">
        <f t="shared" si="0"/>
        <v>7256.970000000001</v>
      </c>
      <c r="H20" s="197">
        <f t="shared" si="1"/>
        <v>104.8960434853038</v>
      </c>
      <c r="I20" s="198">
        <f t="shared" si="2"/>
        <v>-115461.92000000001</v>
      </c>
      <c r="J20" s="198">
        <f t="shared" si="3"/>
        <v>57.384690337344054</v>
      </c>
      <c r="K20" s="198">
        <f>F20-100444.36</f>
        <v>55033.71999999999</v>
      </c>
      <c r="L20" s="198">
        <f>F20/100444.36*100</f>
        <v>154.7902540272047</v>
      </c>
      <c r="M20" s="197">
        <f>M21+M29+M30+M31</f>
        <v>16992.299999999985</v>
      </c>
      <c r="N20" s="200">
        <f>F20-травень!F20</f>
        <v>15229.820000000007</v>
      </c>
      <c r="O20" s="201">
        <f t="shared" si="4"/>
        <v>-1762.4799999999777</v>
      </c>
      <c r="P20" s="198">
        <f t="shared" si="6"/>
        <v>89.62777257934489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82768.48</v>
      </c>
      <c r="G21" s="190">
        <f t="shared" si="0"/>
        <v>4625.119999999995</v>
      </c>
      <c r="H21" s="197">
        <f t="shared" si="1"/>
        <v>105.91876264342868</v>
      </c>
      <c r="I21" s="198">
        <f t="shared" si="2"/>
        <v>-78631.52</v>
      </c>
      <c r="J21" s="198">
        <f t="shared" si="3"/>
        <v>51.281586121437414</v>
      </c>
      <c r="K21" s="198">
        <f>F21-54757.32</f>
        <v>28011.159999999996</v>
      </c>
      <c r="L21" s="198">
        <f>F21/54757.32*100</f>
        <v>151.15509670670514</v>
      </c>
      <c r="M21" s="197">
        <f>M22+M25+M26</f>
        <v>13047.099999999999</v>
      </c>
      <c r="N21" s="200">
        <f>F21-травень!F21</f>
        <v>11228.339999999997</v>
      </c>
      <c r="O21" s="201">
        <f t="shared" si="4"/>
        <v>-1818.760000000002</v>
      </c>
      <c r="P21" s="198">
        <f t="shared" si="6"/>
        <v>86.06004399445085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9133.89</v>
      </c>
      <c r="G22" s="212">
        <f t="shared" si="0"/>
        <v>522.289999999999</v>
      </c>
      <c r="H22" s="214">
        <f t="shared" si="1"/>
        <v>106.06495889265642</v>
      </c>
      <c r="I22" s="215">
        <f t="shared" si="2"/>
        <v>-9366.11</v>
      </c>
      <c r="J22" s="215">
        <f t="shared" si="3"/>
        <v>49.37237837837837</v>
      </c>
      <c r="K22" s="216">
        <f>F22-4957.1</f>
        <v>4176.789999999999</v>
      </c>
      <c r="L22" s="216">
        <f>F22/4957.1*100</f>
        <v>184.25873998910652</v>
      </c>
      <c r="M22" s="214">
        <f>E22-травень!E22</f>
        <v>240</v>
      </c>
      <c r="N22" s="217">
        <f>F22-травень!F22</f>
        <v>493.7399999999998</v>
      </c>
      <c r="O22" s="218">
        <f t="shared" si="4"/>
        <v>253.73999999999978</v>
      </c>
      <c r="P22" s="215">
        <f t="shared" si="6"/>
        <v>205.72499999999988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339.27</v>
      </c>
      <c r="G23" s="241">
        <f t="shared" si="0"/>
        <v>-49.83000000000004</v>
      </c>
      <c r="H23" s="242">
        <f t="shared" si="1"/>
        <v>87.1935235158057</v>
      </c>
      <c r="I23" s="243">
        <f t="shared" si="2"/>
        <v>-1660.73</v>
      </c>
      <c r="J23" s="243">
        <f t="shared" si="3"/>
        <v>16.963499999999996</v>
      </c>
      <c r="K23" s="244">
        <f>F23-284.18</f>
        <v>55.089999999999975</v>
      </c>
      <c r="L23" s="244">
        <f>F23/284.18*100</f>
        <v>119.38560067562811</v>
      </c>
      <c r="M23" s="239">
        <f>E23-травень!E23</f>
        <v>40</v>
      </c>
      <c r="N23" s="239">
        <f>F23-травень!F23</f>
        <v>75.62</v>
      </c>
      <c r="O23" s="240">
        <f t="shared" si="4"/>
        <v>35.620000000000005</v>
      </c>
      <c r="P23" s="240">
        <f t="shared" si="6"/>
        <v>189.05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8794.62</v>
      </c>
      <c r="G24" s="241">
        <f t="shared" si="0"/>
        <v>572.1200000000008</v>
      </c>
      <c r="H24" s="242">
        <f t="shared" si="1"/>
        <v>106.9579811492855</v>
      </c>
      <c r="I24" s="243">
        <f t="shared" si="2"/>
        <v>-7705.379999999999</v>
      </c>
      <c r="J24" s="243">
        <f t="shared" si="3"/>
        <v>53.30072727272728</v>
      </c>
      <c r="K24" s="244">
        <f>F24-4672.92</f>
        <v>4121.700000000001</v>
      </c>
      <c r="L24" s="244">
        <f>F24/4672.92*100</f>
        <v>188.20394956472614</v>
      </c>
      <c r="M24" s="239">
        <f>E24-травень!E24</f>
        <v>200</v>
      </c>
      <c r="N24" s="239">
        <f>F24-травень!F24</f>
        <v>418.1200000000008</v>
      </c>
      <c r="O24" s="240">
        <f t="shared" si="4"/>
        <v>218.1200000000008</v>
      </c>
      <c r="P24" s="240">
        <f t="shared" si="6"/>
        <v>209.06000000000037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73199.54</v>
      </c>
      <c r="G26" s="212">
        <f t="shared" si="0"/>
        <v>3944.6199999999953</v>
      </c>
      <c r="H26" s="214">
        <f t="shared" si="1"/>
        <v>105.69579749713087</v>
      </c>
      <c r="I26" s="215">
        <f t="shared" si="2"/>
        <v>-66900.46</v>
      </c>
      <c r="J26" s="215">
        <f t="shared" si="3"/>
        <v>52.24806566738044</v>
      </c>
      <c r="K26" s="216">
        <f>F26-49589.53</f>
        <v>23610.009999999995</v>
      </c>
      <c r="L26" s="216">
        <f>F26/49589.53*100</f>
        <v>147.61087673143908</v>
      </c>
      <c r="M26" s="214">
        <f>E26-травень!E26</f>
        <v>12807.099999999999</v>
      </c>
      <c r="N26" s="217">
        <f>F26-травень!F26</f>
        <v>10719.62999999999</v>
      </c>
      <c r="O26" s="218">
        <f t="shared" si="4"/>
        <v>-2087.4700000000084</v>
      </c>
      <c r="P26" s="215">
        <f>N26/M26*100</f>
        <v>83.70068165314545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22681.44</v>
      </c>
      <c r="G27" s="241">
        <f t="shared" si="0"/>
        <v>3251.6899999999987</v>
      </c>
      <c r="H27" s="242">
        <f t="shared" si="1"/>
        <v>116.73562449336711</v>
      </c>
      <c r="I27" s="243">
        <f t="shared" si="2"/>
        <v>-15375.560000000001</v>
      </c>
      <c r="J27" s="243">
        <f t="shared" si="3"/>
        <v>59.59860209685471</v>
      </c>
      <c r="K27" s="244">
        <f>F27-12926</f>
        <v>9755.439999999999</v>
      </c>
      <c r="L27" s="244">
        <f>F27/12926*100</f>
        <v>175.4714528856568</v>
      </c>
      <c r="M27" s="239">
        <f>E27-12724.05</f>
        <v>6705.700000000001</v>
      </c>
      <c r="N27" s="239">
        <f>F27-15205.9</f>
        <v>7475.539999999999</v>
      </c>
      <c r="O27" s="240">
        <f t="shared" si="4"/>
        <v>769.8399999999983</v>
      </c>
      <c r="P27" s="240">
        <f>N27/M27*100</f>
        <v>111.4803823612747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50518.1</v>
      </c>
      <c r="G28" s="241">
        <f t="shared" si="0"/>
        <v>692.9300000000003</v>
      </c>
      <c r="H28" s="242">
        <f t="shared" si="1"/>
        <v>101.3907228013472</v>
      </c>
      <c r="I28" s="243">
        <f t="shared" si="2"/>
        <v>40475.1</v>
      </c>
      <c r="J28" s="243">
        <f t="shared" si="3"/>
        <v>503.018022503236</v>
      </c>
      <c r="K28" s="244">
        <f>F28-36663.53</f>
        <v>13854.57</v>
      </c>
      <c r="L28" s="244">
        <f>F28/36663.53*100</f>
        <v>137.78842353695893</v>
      </c>
      <c r="M28" s="239">
        <f>E28-32053.77</f>
        <v>17771.399999999998</v>
      </c>
      <c r="N28" s="239">
        <f>F28-34030.56</f>
        <v>16487.54</v>
      </c>
      <c r="O28" s="240">
        <f t="shared" si="4"/>
        <v>-1283.859999999997</v>
      </c>
      <c r="P28" s="240">
        <f>N28/M28*100</f>
        <v>92.7756957808614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72779.02</v>
      </c>
      <c r="G31" s="202">
        <f t="shared" si="0"/>
        <v>2736.9800000000105</v>
      </c>
      <c r="H31" s="204">
        <f t="shared" si="1"/>
        <v>103.90762462087058</v>
      </c>
      <c r="I31" s="205">
        <f t="shared" si="2"/>
        <v>-36683.979999999996</v>
      </c>
      <c r="J31" s="205">
        <f t="shared" si="3"/>
        <v>66.48732448407225</v>
      </c>
      <c r="K31" s="219">
        <f>F31-46052.97</f>
        <v>26726.050000000003</v>
      </c>
      <c r="L31" s="219">
        <f>F31/46052.97*100</f>
        <v>158.03328210970975</v>
      </c>
      <c r="M31" s="197">
        <f>E31-травень!E31</f>
        <v>3939.9999999999854</v>
      </c>
      <c r="N31" s="200">
        <f>F31-травень!F31</f>
        <v>4012.320000000007</v>
      </c>
      <c r="O31" s="207">
        <f t="shared" si="4"/>
        <v>72.32000000002154</v>
      </c>
      <c r="P31" s="205">
        <f>N31/M31*100</f>
        <v>101.8355329949244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18255.04</v>
      </c>
      <c r="G33" s="109">
        <f t="shared" si="0"/>
        <v>559.0699999999997</v>
      </c>
      <c r="H33" s="111">
        <f t="shared" si="1"/>
        <v>103.15930689303836</v>
      </c>
      <c r="I33" s="110">
        <f t="shared" si="2"/>
        <v>-9344.96</v>
      </c>
      <c r="J33" s="110">
        <f t="shared" si="3"/>
        <v>66.14144927536232</v>
      </c>
      <c r="K33" s="142">
        <f>F33-11423.16</f>
        <v>6831.880000000001</v>
      </c>
      <c r="L33" s="142">
        <f>F33/11423.16*100</f>
        <v>159.80726874174923</v>
      </c>
      <c r="M33" s="111">
        <f>E33-травень!E33</f>
        <v>940</v>
      </c>
      <c r="N33" s="179">
        <f>F33-травень!F33</f>
        <v>702.9799999999996</v>
      </c>
      <c r="O33" s="112">
        <f t="shared" si="4"/>
        <v>-237.02000000000044</v>
      </c>
      <c r="P33" s="110">
        <f>N33/M33*100</f>
        <v>74.78510638297867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54509.8</v>
      </c>
      <c r="G34" s="109">
        <f t="shared" si="0"/>
        <v>2173.720000000001</v>
      </c>
      <c r="H34" s="111">
        <f t="shared" si="1"/>
        <v>104.15338710885493</v>
      </c>
      <c r="I34" s="110">
        <f t="shared" si="2"/>
        <v>-27302.199999999997</v>
      </c>
      <c r="J34" s="110">
        <f t="shared" si="3"/>
        <v>66.62812301373881</v>
      </c>
      <c r="K34" s="142">
        <f>F34-34622.85</f>
        <v>19886.950000000004</v>
      </c>
      <c r="L34" s="142">
        <f>F34/34622.85*100</f>
        <v>157.43880125408512</v>
      </c>
      <c r="M34" s="111">
        <f>E34-травень!E34</f>
        <v>3000</v>
      </c>
      <c r="N34" s="179">
        <f>F34-травень!F34</f>
        <v>3309.340000000004</v>
      </c>
      <c r="O34" s="112">
        <f t="shared" si="4"/>
        <v>309.3400000000038</v>
      </c>
      <c r="P34" s="110">
        <f>N34/M34*100</f>
        <v>110.31133333333345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29051.609999999997</v>
      </c>
      <c r="G37" s="191">
        <f>G38+G39+G40+G41+G42+G44+G46+G47+G48+G49+G50+G55+G56+G60</f>
        <v>7539.98</v>
      </c>
      <c r="H37" s="192">
        <f>F37/E37*100</f>
        <v>135.13614968441297</v>
      </c>
      <c r="I37" s="193">
        <f>F37-D37</f>
        <v>-13768.390000000003</v>
      </c>
      <c r="J37" s="193">
        <f>F37/D37*100</f>
        <v>67.84588977113498</v>
      </c>
      <c r="K37" s="191">
        <f>F37-15873</f>
        <v>13178.609999999997</v>
      </c>
      <c r="L37" s="191">
        <f>F37/15873*100</f>
        <v>183.025326025326</v>
      </c>
      <c r="M37" s="191">
        <f>M38+M39+M40+M41+M42+M44+M46+M47+M48+M49+M50+M55+M56+M60</f>
        <v>3691.0000000000005</v>
      </c>
      <c r="N37" s="191">
        <f>N38+N39+N40+N41+N42+N44+N46+N47+N48+N49+N50+N55+N56+N60+N43</f>
        <v>6211.19</v>
      </c>
      <c r="O37" s="191">
        <f>O38+O39+O40+O41+O42+O44+O46+O47+O48+O49+O50+O55+O56+O60</f>
        <v>2513.3899999999994</v>
      </c>
      <c r="P37" s="191">
        <f>N37/M37*100</f>
        <v>168.27932809536708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59.27</v>
      </c>
      <c r="G42" s="202">
        <f t="shared" si="9"/>
        <v>-0.7299999999999969</v>
      </c>
      <c r="H42" s="204">
        <f t="shared" si="7"/>
        <v>98.78333333333333</v>
      </c>
      <c r="I42" s="205">
        <f t="shared" si="10"/>
        <v>-90.72999999999999</v>
      </c>
      <c r="J42" s="205">
        <f t="shared" si="12"/>
        <v>39.513333333333335</v>
      </c>
      <c r="K42" s="205">
        <f>F42-81.62</f>
        <v>-22.35</v>
      </c>
      <c r="L42" s="205">
        <f>F42/81.62*100</f>
        <v>72.61700563587355</v>
      </c>
      <c r="M42" s="204">
        <f>E42-травень!E42</f>
        <v>10</v>
      </c>
      <c r="N42" s="208">
        <f>F42-травень!F42</f>
        <v>8.870000000000005</v>
      </c>
      <c r="O42" s="207">
        <f t="shared" si="11"/>
        <v>-1.1299999999999955</v>
      </c>
      <c r="P42" s="205">
        <f t="shared" si="8"/>
        <v>88.70000000000005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166.16</v>
      </c>
      <c r="G44" s="202">
        <f t="shared" si="9"/>
        <v>126.16</v>
      </c>
      <c r="H44" s="204">
        <f t="shared" si="7"/>
        <v>415.4</v>
      </c>
      <c r="I44" s="205">
        <f t="shared" si="10"/>
        <v>76.16</v>
      </c>
      <c r="J44" s="205">
        <f t="shared" si="12"/>
        <v>184.62222222222223</v>
      </c>
      <c r="K44" s="205">
        <f>F44-0</f>
        <v>166.16</v>
      </c>
      <c r="L44" s="205"/>
      <c r="M44" s="204">
        <f>E44-травень!E44</f>
        <v>8</v>
      </c>
      <c r="N44" s="208">
        <f>F44-травень!F44</f>
        <v>89.83</v>
      </c>
      <c r="O44" s="207">
        <f t="shared" si="11"/>
        <v>81.83</v>
      </c>
      <c r="P44" s="205">
        <f t="shared" si="8"/>
        <v>1122.875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4914.86</v>
      </c>
      <c r="G46" s="202">
        <f t="shared" si="9"/>
        <v>375.83999999999924</v>
      </c>
      <c r="H46" s="204">
        <f t="shared" si="7"/>
        <v>108.2802014531771</v>
      </c>
      <c r="I46" s="205">
        <f t="shared" si="10"/>
        <v>-4985.14</v>
      </c>
      <c r="J46" s="205">
        <f t="shared" si="12"/>
        <v>49.645050505050506</v>
      </c>
      <c r="K46" s="205">
        <f>F46-4927.6</f>
        <v>-12.740000000000691</v>
      </c>
      <c r="L46" s="205">
        <f>F46/4927.6*100</f>
        <v>99.74145628703627</v>
      </c>
      <c r="M46" s="204">
        <f>E46-травень!E46</f>
        <v>800.0000000000005</v>
      </c>
      <c r="N46" s="208">
        <f>F46-травень!F46</f>
        <v>857.4499999999998</v>
      </c>
      <c r="O46" s="207">
        <f t="shared" si="11"/>
        <v>57.44999999999936</v>
      </c>
      <c r="P46" s="205">
        <f t="shared" si="8"/>
        <v>107.18124999999992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67.87</v>
      </c>
      <c r="G47" s="202">
        <f t="shared" si="9"/>
        <v>-582.13</v>
      </c>
      <c r="H47" s="204">
        <f t="shared" si="7"/>
        <v>10.441538461538462</v>
      </c>
      <c r="I47" s="205">
        <f t="shared" si="10"/>
        <v>-1432.13</v>
      </c>
      <c r="J47" s="205">
        <f t="shared" si="12"/>
        <v>4.5246666666666675</v>
      </c>
      <c r="K47" s="205">
        <f>F47-0</f>
        <v>67.87</v>
      </c>
      <c r="L47" s="205"/>
      <c r="M47" s="204">
        <f>E47-травень!E47</f>
        <v>130</v>
      </c>
      <c r="N47" s="208">
        <f>F47-травень!F47</f>
        <v>33.940000000000005</v>
      </c>
      <c r="O47" s="207">
        <f t="shared" si="11"/>
        <v>-96.06</v>
      </c>
      <c r="P47" s="205">
        <f t="shared" si="8"/>
        <v>26.10769230769231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3056.99</v>
      </c>
      <c r="G50" s="202">
        <f t="shared" si="9"/>
        <v>-162.20000000000027</v>
      </c>
      <c r="H50" s="204">
        <f t="shared" si="7"/>
        <v>94.9614654618087</v>
      </c>
      <c r="I50" s="205">
        <f t="shared" si="10"/>
        <v>-4243.01</v>
      </c>
      <c r="J50" s="205">
        <f t="shared" si="12"/>
        <v>41.87657534246575</v>
      </c>
      <c r="K50" s="205">
        <f>F50-4033.24</f>
        <v>-976.25</v>
      </c>
      <c r="L50" s="205">
        <f>F50/4033.24*100</f>
        <v>75.79489442730906</v>
      </c>
      <c r="M50" s="204">
        <f>E50-травень!E50</f>
        <v>666</v>
      </c>
      <c r="N50" s="208">
        <f>F50-травень!F50</f>
        <v>483.52999999999975</v>
      </c>
      <c r="O50" s="207">
        <f t="shared" si="11"/>
        <v>-182.47000000000025</v>
      </c>
      <c r="P50" s="205">
        <f t="shared" si="8"/>
        <v>72.60210210210207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414.86</v>
      </c>
      <c r="G51" s="36">
        <f t="shared" si="9"/>
        <v>-137.13</v>
      </c>
      <c r="H51" s="32">
        <f t="shared" si="7"/>
        <v>75.15715864417834</v>
      </c>
      <c r="I51" s="110">
        <f t="shared" si="10"/>
        <v>-685.14</v>
      </c>
      <c r="J51" s="110">
        <f t="shared" si="12"/>
        <v>37.71454545454546</v>
      </c>
      <c r="K51" s="110">
        <f>F51-582.74</f>
        <v>-167.88</v>
      </c>
      <c r="L51" s="110">
        <f>F51/582.74*100</f>
        <v>71.19126883344201</v>
      </c>
      <c r="M51" s="111">
        <f>E51-травень!E51</f>
        <v>185</v>
      </c>
      <c r="N51" s="179">
        <f>F51-травень!F51</f>
        <v>47.31</v>
      </c>
      <c r="O51" s="112">
        <f t="shared" si="11"/>
        <v>-137.69</v>
      </c>
      <c r="P51" s="132">
        <f t="shared" si="8"/>
        <v>25.572972972972973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2641.88</v>
      </c>
      <c r="G54" s="36">
        <f t="shared" si="9"/>
        <v>-20.289999999999964</v>
      </c>
      <c r="H54" s="32">
        <f t="shared" si="7"/>
        <v>99.23783980737518</v>
      </c>
      <c r="I54" s="110">
        <f t="shared" si="10"/>
        <v>-3512.12</v>
      </c>
      <c r="J54" s="110">
        <f t="shared" si="12"/>
        <v>42.92947676308093</v>
      </c>
      <c r="K54" s="110">
        <f>F54-3404.6</f>
        <v>-762.7199999999998</v>
      </c>
      <c r="L54" s="110">
        <f>F54/3404.6*100</f>
        <v>77.59736826646304</v>
      </c>
      <c r="M54" s="111">
        <f>E54-травень!E54</f>
        <v>480</v>
      </c>
      <c r="N54" s="179">
        <f>F54-травень!F54</f>
        <v>436.21000000000004</v>
      </c>
      <c r="O54" s="112">
        <f t="shared" si="11"/>
        <v>-43.789999999999964</v>
      </c>
      <c r="P54" s="132">
        <f t="shared" si="8"/>
        <v>90.87708333333335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2628.89</v>
      </c>
      <c r="G56" s="202">
        <f t="shared" si="9"/>
        <v>360.90999999999985</v>
      </c>
      <c r="H56" s="204">
        <f t="shared" si="7"/>
        <v>115.91327965855078</v>
      </c>
      <c r="I56" s="205">
        <f t="shared" si="10"/>
        <v>-2171.11</v>
      </c>
      <c r="J56" s="205">
        <f t="shared" si="12"/>
        <v>54.76854166666666</v>
      </c>
      <c r="K56" s="205">
        <f>F56-2236.15</f>
        <v>392.7399999999998</v>
      </c>
      <c r="L56" s="205">
        <f>F56/2236.15*100</f>
        <v>117.56322250296267</v>
      </c>
      <c r="M56" s="204">
        <f>E56-травень!E56</f>
        <v>400</v>
      </c>
      <c r="N56" s="208">
        <f>F56-травень!F56</f>
        <v>308.77999999999975</v>
      </c>
      <c r="O56" s="207">
        <f t="shared" si="11"/>
        <v>-91.22000000000025</v>
      </c>
      <c r="P56" s="205">
        <f t="shared" si="8"/>
        <v>77.19499999999994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588.1</v>
      </c>
      <c r="G58" s="202"/>
      <c r="H58" s="204"/>
      <c r="I58" s="205"/>
      <c r="J58" s="205"/>
      <c r="K58" s="206">
        <f>F58-577.4</f>
        <v>10.700000000000045</v>
      </c>
      <c r="L58" s="206">
        <f>F58/577.4*100</f>
        <v>101.85313474194666</v>
      </c>
      <c r="M58" s="236"/>
      <c r="N58" s="220">
        <f>F58-травень!F58</f>
        <v>109.73000000000002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466807.44</v>
      </c>
      <c r="G63" s="191">
        <f>F63-E63</f>
        <v>25061.43000000005</v>
      </c>
      <c r="H63" s="192">
        <f>F63/E63*100</f>
        <v>105.67326686210478</v>
      </c>
      <c r="I63" s="193">
        <f>F63-D63</f>
        <v>-417093.16</v>
      </c>
      <c r="J63" s="193">
        <f>F63/D63*100</f>
        <v>52.81220987970819</v>
      </c>
      <c r="K63" s="193">
        <f>F63-320998.67</f>
        <v>145808.77000000002</v>
      </c>
      <c r="L63" s="193">
        <f>F63/320998.67*100</f>
        <v>145.423481038099</v>
      </c>
      <c r="M63" s="191">
        <f>M8+M37+M61+M62</f>
        <v>71492.59999999999</v>
      </c>
      <c r="N63" s="191">
        <f>N8+N37+N61+N62</f>
        <v>68958.15000000001</v>
      </c>
      <c r="O63" s="195">
        <f>N63-M63</f>
        <v>-2534.4499999999825</v>
      </c>
      <c r="P63" s="193">
        <f>N63/M63*100</f>
        <v>96.45494778480573</v>
      </c>
      <c r="Q63" s="28">
        <f>N63-34768</f>
        <v>34190.15000000001</v>
      </c>
      <c r="R63" s="128">
        <f>N63/34768</f>
        <v>1.9833798320294527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926.25</v>
      </c>
      <c r="G73" s="202">
        <f t="shared" si="13"/>
        <v>-1307.46</v>
      </c>
      <c r="H73" s="204">
        <f>F73/E73*100</f>
        <v>41.46688692802557</v>
      </c>
      <c r="I73" s="207">
        <f t="shared" si="14"/>
        <v>-6532.75</v>
      </c>
      <c r="J73" s="207">
        <f>F73/D73*100</f>
        <v>12.417884434910846</v>
      </c>
      <c r="K73" s="207">
        <f>F73-3257.07</f>
        <v>-2330.82</v>
      </c>
      <c r="L73" s="207">
        <f>F73/3257.07*100</f>
        <v>28.4381361162026</v>
      </c>
      <c r="M73" s="204">
        <f>E73-травень!E73</f>
        <v>282.60000000000014</v>
      </c>
      <c r="N73" s="208">
        <f>F73-травень!F73</f>
        <v>57.01999999999998</v>
      </c>
      <c r="O73" s="207">
        <f t="shared" si="15"/>
        <v>-225.58000000000015</v>
      </c>
      <c r="P73" s="207">
        <f>N73/M73*100</f>
        <v>20.17692852087755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11348.78</v>
      </c>
      <c r="G76" s="226">
        <f t="shared" si="13"/>
        <v>5903.220000000001</v>
      </c>
      <c r="H76" s="227">
        <f>F76/E76*100</f>
        <v>208.40427798059338</v>
      </c>
      <c r="I76" s="228">
        <f t="shared" si="14"/>
        <v>-6322.219999999999</v>
      </c>
      <c r="J76" s="228">
        <f>F76/D76*100</f>
        <v>64.22262463923943</v>
      </c>
      <c r="K76" s="228">
        <f>F76-5269.49</f>
        <v>6079.290000000001</v>
      </c>
      <c r="L76" s="228">
        <f>F76/5269.49*100</f>
        <v>215.36771110676747</v>
      </c>
      <c r="M76" s="226">
        <f>M72+M73+M74+M75</f>
        <v>1085.6000000000001</v>
      </c>
      <c r="N76" s="230">
        <f>N72+N73+N74+N75</f>
        <v>319.19000000000074</v>
      </c>
      <c r="O76" s="228">
        <f t="shared" si="15"/>
        <v>-766.4099999999994</v>
      </c>
      <c r="P76" s="228">
        <f>N76/M76*100</f>
        <v>29.402173913043544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4890.42</v>
      </c>
      <c r="G79" s="202">
        <f t="shared" si="13"/>
        <v>-226.8800000000001</v>
      </c>
      <c r="H79" s="204">
        <f>F79/E79*100</f>
        <v>95.56641197506497</v>
      </c>
      <c r="I79" s="207">
        <f t="shared" si="14"/>
        <v>-4609.58</v>
      </c>
      <c r="J79" s="207">
        <f>F79/D79*100</f>
        <v>51.47810526315789</v>
      </c>
      <c r="K79" s="207">
        <f>F79-0</f>
        <v>4890.42</v>
      </c>
      <c r="L79" s="207"/>
      <c r="M79" s="204">
        <f>E79-травень!E79</f>
        <v>0.3000000000001819</v>
      </c>
      <c r="N79" s="208">
        <f>F79-травень!F79</f>
        <v>2.649999999999636</v>
      </c>
      <c r="O79" s="207">
        <f>N79-M79</f>
        <v>2.3499999999994543</v>
      </c>
      <c r="P79" s="231">
        <f>N79/M79*100</f>
        <v>883.3333333326765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4896.3</v>
      </c>
      <c r="G81" s="224">
        <f>G77+G80+G78+G79</f>
        <v>-221.0000000000001</v>
      </c>
      <c r="H81" s="227">
        <f>F81/E81*100</f>
        <v>95.68131631915267</v>
      </c>
      <c r="I81" s="228">
        <f t="shared" si="14"/>
        <v>-4604.7</v>
      </c>
      <c r="J81" s="228">
        <f>F81/D81*100</f>
        <v>51.534575307862326</v>
      </c>
      <c r="K81" s="228">
        <f>F81-1.06</f>
        <v>4895.24</v>
      </c>
      <c r="L81" s="228">
        <f>F81/1.06*100</f>
        <v>461915.09433962265</v>
      </c>
      <c r="M81" s="226">
        <f>M77+M80+M78+M79</f>
        <v>0.3000000000001819</v>
      </c>
      <c r="N81" s="230">
        <f>N77+N80+N78+N79</f>
        <v>3.4399999999996362</v>
      </c>
      <c r="O81" s="226">
        <f>O77+O80+O78+O79</f>
        <v>3.1399999999994543</v>
      </c>
      <c r="P81" s="228">
        <f>N81/M81*100</f>
        <v>1146.66666666585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11.63</v>
      </c>
      <c r="G82" s="202">
        <f t="shared" si="13"/>
        <v>-8.069999999999999</v>
      </c>
      <c r="H82" s="204">
        <f>F82/E82*100</f>
        <v>59.03553299492387</v>
      </c>
      <c r="I82" s="207">
        <f t="shared" si="14"/>
        <v>-31.369999999999997</v>
      </c>
      <c r="J82" s="207">
        <f>F82/D82*100</f>
        <v>27.046511627906977</v>
      </c>
      <c r="K82" s="207">
        <f>F82-19.94</f>
        <v>-8.31</v>
      </c>
      <c r="L82" s="207">
        <f>F82/19.94*100</f>
        <v>58.32497492477432</v>
      </c>
      <c r="M82" s="204">
        <f>E82-травень!E82</f>
        <v>5.899999999999999</v>
      </c>
      <c r="N82" s="208">
        <f>F82-травень!F82</f>
        <v>2.4400000000000013</v>
      </c>
      <c r="O82" s="207">
        <f t="shared" si="15"/>
        <v>-3.4599999999999973</v>
      </c>
      <c r="P82" s="207">
        <f>N82/M82</f>
        <v>0.4135593220338986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16254.420000000002</v>
      </c>
      <c r="G84" s="233">
        <f>F84-E84</f>
        <v>5671.860000000002</v>
      </c>
      <c r="H84" s="234">
        <f>F84/E84*100</f>
        <v>153.59629428040097</v>
      </c>
      <c r="I84" s="235">
        <f>F84-D84</f>
        <v>-10960.579999999998</v>
      </c>
      <c r="J84" s="235">
        <f>F84/D84*100</f>
        <v>59.72595994855779</v>
      </c>
      <c r="K84" s="235">
        <f>F84-5259.67</f>
        <v>10994.750000000002</v>
      </c>
      <c r="L84" s="235">
        <f>F84/5259.67*100</f>
        <v>309.0387799995057</v>
      </c>
      <c r="M84" s="232">
        <f>M70+M82+M76+M81</f>
        <v>1091.8000000000004</v>
      </c>
      <c r="N84" s="232">
        <f>N70+N82+N76+N81+N83</f>
        <v>323.0400000000004</v>
      </c>
      <c r="O84" s="235">
        <f t="shared" si="15"/>
        <v>-768.76</v>
      </c>
      <c r="P84" s="235">
        <f>N84/M84*100</f>
        <v>29.58783660010994</v>
      </c>
      <c r="Q84" s="28">
        <f>N84-8104.96</f>
        <v>-7781.92</v>
      </c>
      <c r="R84" s="101">
        <f>N84/8104.96</f>
        <v>0.039857075173720835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483061.86</v>
      </c>
      <c r="G85" s="233">
        <f>F85-E85</f>
        <v>30733.290000000037</v>
      </c>
      <c r="H85" s="234">
        <f>F85/E85*100</f>
        <v>106.79446138014232</v>
      </c>
      <c r="I85" s="235">
        <f>F85-D85</f>
        <v>-428053.74</v>
      </c>
      <c r="J85" s="235">
        <f>F85/D85*100</f>
        <v>53.01872341994803</v>
      </c>
      <c r="K85" s="235">
        <f>F85-320998.67-5259.67</f>
        <v>156803.52</v>
      </c>
      <c r="L85" s="235">
        <f>F85/(265734.15+4325.48)*100</f>
        <v>178.87229572224476</v>
      </c>
      <c r="M85" s="233">
        <f>M63+M84</f>
        <v>72584.4</v>
      </c>
      <c r="N85" s="233">
        <f>N63+N84</f>
        <v>69281.19</v>
      </c>
      <c r="O85" s="235">
        <f t="shared" si="15"/>
        <v>-3303.209999999992</v>
      </c>
      <c r="P85" s="235">
        <f>N85/M85*100</f>
        <v>95.44914609750856</v>
      </c>
      <c r="Q85" s="28">
        <f>N85-42872.96</f>
        <v>26408.230000000003</v>
      </c>
      <c r="R85" s="101">
        <f>N85/42872.96</f>
        <v>1.6159647012942424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2534.4499999999825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42550</v>
      </c>
      <c r="D89" s="31">
        <v>11029.3</v>
      </c>
      <c r="G89" s="4" t="s">
        <v>59</v>
      </c>
      <c r="N89" s="256"/>
      <c r="O89" s="256"/>
    </row>
    <row r="90" spans="3:15" ht="15">
      <c r="C90" s="87">
        <v>42545</v>
      </c>
      <c r="D90" s="31">
        <v>6499.7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42544</v>
      </c>
      <c r="D91" s="31">
        <v>2558.6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3836.30986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242.57</v>
      </c>
      <c r="G96" s="73">
        <f>G44+G47+G48</f>
        <v>-467.43</v>
      </c>
      <c r="H96" s="74"/>
      <c r="I96" s="74"/>
      <c r="M96" s="31">
        <f>M44+M47+M48</f>
        <v>142</v>
      </c>
      <c r="N96" s="246">
        <f>N44+N47+N48</f>
        <v>124.59</v>
      </c>
      <c r="O96" s="31">
        <f>O44+O47+O48</f>
        <v>-17.410000000000004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" sqref="B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2016-06-29T08:53:05Z</cp:lastPrinted>
  <dcterms:created xsi:type="dcterms:W3CDTF">2003-07-28T11:27:56Z</dcterms:created>
  <dcterms:modified xsi:type="dcterms:W3CDTF">2016-06-30T09:29:03Z</dcterms:modified>
  <cp:category/>
  <cp:version/>
  <cp:contentType/>
  <cp:contentStatus/>
</cp:coreProperties>
</file>